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285" windowWidth="14805" windowHeight="7830" activeTab="1"/>
  </bookViews>
  <sheets>
    <sheet name="повна заміна" sheetId="1" r:id="rId1"/>
    <sheet name="часткова заміна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E20" i="2"/>
  <c r="D22"/>
  <c r="D10" l="1"/>
  <c r="E9" i="1"/>
  <c r="D10"/>
  <c r="E19" l="1"/>
  <c r="F20" i="2" l="1"/>
  <c r="F16"/>
  <c r="F12"/>
  <c r="E5" i="1"/>
  <c r="E5" i="2"/>
  <c r="D21"/>
  <c r="D20"/>
  <c r="D18"/>
  <c r="D17"/>
  <c r="D16"/>
  <c r="D24"/>
  <c r="E24"/>
  <c r="D25"/>
  <c r="E25"/>
  <c r="D12"/>
  <c r="D14"/>
  <c r="E32"/>
  <c r="D32"/>
  <c r="E31"/>
  <c r="D31"/>
  <c r="D30"/>
  <c r="E8"/>
  <c r="D7"/>
  <c r="C9"/>
  <c r="E7" l="1"/>
  <c r="E9" s="1"/>
  <c r="E26" s="1"/>
  <c r="E27" s="1"/>
  <c r="E36" s="1"/>
  <c r="C10"/>
  <c r="E6"/>
  <c r="D6"/>
  <c r="E10" l="1"/>
  <c r="E28"/>
  <c r="E29" s="1"/>
  <c r="E37" s="1"/>
  <c r="E40" s="1"/>
  <c r="E21" i="1"/>
  <c r="E39" i="2" l="1"/>
  <c r="D19" i="1"/>
  <c r="E18"/>
  <c r="D18"/>
  <c r="C7"/>
  <c r="D7"/>
  <c r="E8"/>
  <c r="E15" s="1"/>
  <c r="E16" s="1"/>
  <c r="E24" s="1"/>
  <c r="E27" s="1"/>
  <c r="C9"/>
  <c r="D21"/>
  <c r="D17"/>
  <c r="E12"/>
  <c r="D12"/>
  <c r="E11"/>
  <c r="D11"/>
  <c r="C10" l="1"/>
  <c r="E13"/>
  <c r="E14" s="1"/>
  <c r="E23" s="1"/>
  <c r="E26" s="1"/>
  <c r="E7"/>
  <c r="E6" s="1"/>
  <c r="D6"/>
</calcChain>
</file>

<file path=xl/sharedStrings.xml><?xml version="1.0" encoding="utf-8"?>
<sst xmlns="http://schemas.openxmlformats.org/spreadsheetml/2006/main" count="134" uniqueCount="54">
  <si>
    <t>№з/п</t>
  </si>
  <si>
    <t>Показник</t>
  </si>
  <si>
    <t>Х</t>
  </si>
  <si>
    <t>Економія палива від впровадження ІП у порівнянні з нормативними умовами роботи існуючої теплової мережі, кг.у.п.</t>
  </si>
  <si>
    <t>Амортизаційні відрахування у розрахунку на рік, грн.</t>
  </si>
  <si>
    <t>Витрата умовного палива (з використанням калорійного еквіваленту середнього за рік за формою звіту 1 НКП), т.у.п.</t>
  </si>
  <si>
    <t xml:space="preserve">Річний обсяг відпуску теплової енергії у мережу, Гкал </t>
  </si>
  <si>
    <t>ККД котлів з урахуванням витрат на власні потреби котльної 2,2%, відс.</t>
  </si>
  <si>
    <t>Кількість експлуатаційного персоналу котельні, шт.од</t>
  </si>
  <si>
    <t>Середня заробітна плата 1 штатного працівника у еквіваленті повної зайнятості за попередній рік за формою 8-НКП</t>
  </si>
  <si>
    <t>Середня балансова вартість котлів з допоміжним обладнанням, грн</t>
  </si>
  <si>
    <t>Зменшення витрат фактичної собівартості за рахунок економії палива від впровадження ІП у порівнянні з фактичними умовами роботи у розрахунку на рік, грн</t>
  </si>
  <si>
    <t>Фактичні умови роботи обладнання</t>
  </si>
  <si>
    <t>Зменшення собівартості за рахунок економії фонду оплати праці з нарахуваннями (37%) у розрахунку на рік, грн</t>
  </si>
  <si>
    <t>Фактичний час роботи котельні за рік, діб</t>
  </si>
  <si>
    <t>Середня фактична вартість палива  за попередній рік (форма 1НКП), грн/т.у.п.</t>
  </si>
  <si>
    <t>Питома витрата палива до обсягу відпуску у мережу теплової енергії, кг.у.п./Гкал</t>
  </si>
  <si>
    <t>Економія палива від впровадження ІП у порівнянні з фактичними умовами роботи при плановому обсязі виробництва теплової енергії, кг.у.п.</t>
  </si>
  <si>
    <t>Без ПДВ</t>
  </si>
  <si>
    <t>Модернізація (реконструкція) котельної з повною заміною котлів</t>
  </si>
  <si>
    <t>Вартість зворотних матеріалів при демонтажі старого обладнання, грн</t>
  </si>
  <si>
    <t>Сердня потужність роботи котла за попередній рік, Гкал/год</t>
  </si>
  <si>
    <t xml:space="preserve">Параметри котлів, що планується замінити та нових </t>
  </si>
  <si>
    <t>Марка та номінальна потужність котла, Гкал/год</t>
  </si>
  <si>
    <t xml:space="preserve">  7.1.1.</t>
  </si>
  <si>
    <t xml:space="preserve">  7.1.2.</t>
  </si>
  <si>
    <t xml:space="preserve">  7.1.3.</t>
  </si>
  <si>
    <t xml:space="preserve">  7.1.4.</t>
  </si>
  <si>
    <t xml:space="preserve">  7.2.1.</t>
  </si>
  <si>
    <t xml:space="preserve">  7.2.2.</t>
  </si>
  <si>
    <t xml:space="preserve">  7.3.4.</t>
  </si>
  <si>
    <t xml:space="preserve">  7.2.3.</t>
  </si>
  <si>
    <t xml:space="preserve">  7.2.4.</t>
  </si>
  <si>
    <t xml:space="preserve">  7.3.1.</t>
  </si>
  <si>
    <t xml:space="preserve">  7.3.2.</t>
  </si>
  <si>
    <t xml:space="preserve">Фактичний час роботи за попередній рік котла, що планується замінити та планований нового котла, діб </t>
  </si>
  <si>
    <t>Питома витрата палива котлом при завантаженні п.7.1.3., кг.у.п./Гкал</t>
  </si>
  <si>
    <t>Питома витрата палива котлом при завантаженні п.7.2.3., кг.у.п./Гкал</t>
  </si>
  <si>
    <t>Час роботи котельні за рік, діб</t>
  </si>
  <si>
    <t>Модернізація (реконструкція) котельної з частковою заміною котлів (до 3 шт)</t>
  </si>
  <si>
    <t>Повна вартість реалізації заходу ІП з монтажними та пуско-налагоджувальними роботами, грн</t>
  </si>
  <si>
    <t>Економічний ефект від впровадження ІП відносно фактичних умов роботи існуючої котельні, грн</t>
  </si>
  <si>
    <t>Економічний ефект від впровадження ІП відносно нормативних умов роботи існуючої котельні, грн</t>
  </si>
  <si>
    <t>Термін окупності заходу ІП відносно нормативних показників роботи котельні, рік</t>
  </si>
  <si>
    <t>Термін окупності заходу ІП відносно фактичних показників роботи котельні, рік</t>
  </si>
  <si>
    <t>адреса котельної  ________________________________</t>
  </si>
  <si>
    <t>Нормативні показники роботи обладнання до проведення заходів ІП</t>
  </si>
  <si>
    <t>Показники роботи після завершення заходів  ІП</t>
  </si>
  <si>
    <t>Витрата натурального палива котельнею за рік, тис.м.куб.</t>
  </si>
  <si>
    <t>Середня місячна заробітна плата 1 штатного працівника у еквіваленті повної зайнятості за попередній рік за формою 8-НКП</t>
  </si>
  <si>
    <t>Зменшення витрат планової собівартості за рахунок економії палива від впровадження ІП у порівнянні з нормативними умовами роботи у розрахунку на рік , грн</t>
  </si>
  <si>
    <t>Прогнозна вартість палива на поточний рік, грн./т.у.п.</t>
  </si>
  <si>
    <t>адреса котельної  №2 по вул.Леніна, 20 а</t>
  </si>
  <si>
    <t>КБНГ-2,5</t>
  </si>
</sst>
</file>

<file path=xl/styles.xml><?xml version="1.0" encoding="utf-8"?>
<styleSheet xmlns="http://schemas.openxmlformats.org/spreadsheetml/2006/main">
  <numFmts count="3">
    <numFmt numFmtId="164" formatCode="#,##0.000"/>
    <numFmt numFmtId="165" formatCode="#,##0.0"/>
    <numFmt numFmtId="166" formatCode="0.000"/>
  </numFmts>
  <fonts count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4" fontId="0" fillId="0" borderId="4" xfId="0" applyNumberFormat="1" applyBorder="1" applyAlignment="1">
      <alignment horizontal="center" vertical="center" wrapText="1"/>
    </xf>
    <xf numFmtId="4" fontId="0" fillId="0" borderId="5" xfId="0" applyNumberFormat="1" applyBorder="1" applyAlignment="1">
      <alignment horizontal="center" vertical="center" wrapText="1"/>
    </xf>
    <xf numFmtId="0" fontId="0" fillId="0" borderId="6" xfId="0" applyBorder="1" applyAlignment="1">
      <alignment wrapText="1"/>
    </xf>
    <xf numFmtId="4" fontId="0" fillId="0" borderId="1" xfId="0" applyNumberForma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0" fillId="0" borderId="7" xfId="0" applyNumberFormat="1" applyBorder="1" applyAlignment="1">
      <alignment horizontal="center" vertical="center" wrapText="1"/>
    </xf>
    <xf numFmtId="4" fontId="0" fillId="2" borderId="1" xfId="0" applyNumberFormat="1" applyFill="1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4" fontId="0" fillId="0" borderId="9" xfId="0" applyNumberFormat="1" applyBorder="1" applyAlignment="1">
      <alignment horizontal="center" vertical="center" wrapText="1"/>
    </xf>
    <xf numFmtId="4" fontId="0" fillId="0" borderId="10" xfId="0" applyNumberFormat="1" applyBorder="1" applyAlignment="1">
      <alignment horizontal="center" vertical="center" wrapText="1"/>
    </xf>
    <xf numFmtId="0" fontId="0" fillId="0" borderId="11" xfId="0" applyBorder="1" applyAlignment="1">
      <alignment wrapText="1"/>
    </xf>
    <xf numFmtId="4" fontId="0" fillId="2" borderId="7" xfId="0" applyNumberFormat="1" applyFill="1" applyBorder="1" applyAlignment="1">
      <alignment horizontal="center" vertical="center" wrapText="1"/>
    </xf>
    <xf numFmtId="0" fontId="0" fillId="0" borderId="12" xfId="0" applyBorder="1" applyAlignment="1">
      <alignment wrapText="1"/>
    </xf>
    <xf numFmtId="4" fontId="0" fillId="0" borderId="11" xfId="0" applyNumberFormat="1" applyBorder="1" applyAlignment="1">
      <alignment horizontal="center" vertical="center" wrapText="1"/>
    </xf>
    <xf numFmtId="4" fontId="0" fillId="2" borderId="5" xfId="0" applyNumberFormat="1" applyFill="1" applyBorder="1" applyAlignment="1">
      <alignment horizontal="center" vertical="center" wrapText="1"/>
    </xf>
    <xf numFmtId="164" fontId="0" fillId="0" borderId="9" xfId="0" applyNumberFormat="1" applyFill="1" applyBorder="1" applyAlignment="1">
      <alignment horizontal="center" vertical="center" wrapText="1"/>
    </xf>
    <xf numFmtId="3" fontId="0" fillId="0" borderId="9" xfId="0" applyNumberFormat="1" applyBorder="1" applyAlignment="1">
      <alignment horizontal="center" vertical="center" wrapText="1"/>
    </xf>
    <xf numFmtId="3" fontId="0" fillId="0" borderId="10" xfId="0" applyNumberFormat="1" applyBorder="1" applyAlignment="1">
      <alignment horizontal="center" vertical="center" wrapText="1"/>
    </xf>
    <xf numFmtId="3" fontId="0" fillId="2" borderId="4" xfId="0" applyNumberFormat="1" applyFill="1" applyBorder="1" applyAlignment="1">
      <alignment horizontal="center" vertical="center" wrapText="1"/>
    </xf>
    <xf numFmtId="3" fontId="0" fillId="0" borderId="4" xfId="0" applyNumberFormat="1" applyBorder="1" applyAlignment="1">
      <alignment horizontal="center" vertical="center" wrapText="1"/>
    </xf>
    <xf numFmtId="2" fontId="0" fillId="0" borderId="0" xfId="0" applyNumberFormat="1"/>
    <xf numFmtId="166" fontId="0" fillId="0" borderId="0" xfId="0" applyNumberFormat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164" fontId="0" fillId="0" borderId="15" xfId="0" applyNumberFormat="1" applyFill="1" applyBorder="1" applyAlignment="1">
      <alignment horizontal="center" vertical="center" wrapText="1"/>
    </xf>
    <xf numFmtId="3" fontId="0" fillId="0" borderId="15" xfId="0" applyNumberFormat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0" borderId="17" xfId="0" applyBorder="1" applyAlignment="1">
      <alignment wrapText="1"/>
    </xf>
    <xf numFmtId="0" fontId="0" fillId="0" borderId="2" xfId="0" applyBorder="1" applyAlignment="1">
      <alignment wrapText="1"/>
    </xf>
    <xf numFmtId="4" fontId="0" fillId="0" borderId="2" xfId="0" applyNumberFormat="1" applyBorder="1" applyAlignment="1">
      <alignment horizontal="center" vertical="center" wrapText="1"/>
    </xf>
    <xf numFmtId="0" fontId="0" fillId="0" borderId="19" xfId="0" applyBorder="1" applyAlignment="1">
      <alignment wrapText="1"/>
    </xf>
    <xf numFmtId="0" fontId="0" fillId="0" borderId="20" xfId="0" applyBorder="1" applyAlignment="1">
      <alignment wrapText="1"/>
    </xf>
    <xf numFmtId="4" fontId="0" fillId="0" borderId="20" xfId="0" applyNumberFormat="1" applyBorder="1" applyAlignment="1">
      <alignment horizontal="center" vertical="center" wrapText="1"/>
    </xf>
    <xf numFmtId="0" fontId="0" fillId="0" borderId="9" xfId="0" applyBorder="1" applyAlignment="1">
      <alignment horizontal="center" wrapText="1"/>
    </xf>
    <xf numFmtId="2" fontId="0" fillId="0" borderId="10" xfId="0" applyNumberFormat="1" applyBorder="1" applyAlignment="1">
      <alignment horizontal="center" wrapText="1"/>
    </xf>
    <xf numFmtId="4" fontId="0" fillId="3" borderId="4" xfId="0" applyNumberForma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3" fontId="0" fillId="0" borderId="5" xfId="0" applyNumberFormat="1" applyBorder="1" applyAlignment="1">
      <alignment horizontal="center" vertical="center" wrapText="1"/>
    </xf>
    <xf numFmtId="165" fontId="0" fillId="2" borderId="11" xfId="0" applyNumberFormat="1" applyFill="1" applyBorder="1" applyAlignment="1">
      <alignment horizontal="center" vertical="center" wrapText="1"/>
    </xf>
    <xf numFmtId="165" fontId="0" fillId="0" borderId="11" xfId="0" applyNumberFormat="1" applyBorder="1" applyAlignment="1">
      <alignment horizontal="center" vertical="center" wrapText="1"/>
    </xf>
    <xf numFmtId="3" fontId="0" fillId="2" borderId="11" xfId="0" applyNumberFormat="1" applyFill="1" applyBorder="1" applyAlignment="1">
      <alignment horizontal="center" vertical="center" wrapText="1"/>
    </xf>
    <xf numFmtId="165" fontId="0" fillId="2" borderId="1" xfId="0" applyNumberFormat="1" applyFill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3" fontId="0" fillId="2" borderId="1" xfId="0" applyNumberFormat="1" applyFill="1" applyBorder="1" applyAlignment="1">
      <alignment horizontal="center" vertical="center" wrapText="1"/>
    </xf>
    <xf numFmtId="165" fontId="0" fillId="0" borderId="7" xfId="0" applyNumberFormat="1" applyBorder="1" applyAlignment="1">
      <alignment horizontal="center" vertical="center" wrapText="1"/>
    </xf>
    <xf numFmtId="165" fontId="0" fillId="0" borderId="10" xfId="0" applyNumberFormat="1" applyBorder="1" applyAlignment="1">
      <alignment horizontal="center" vertical="center" wrapText="1"/>
    </xf>
    <xf numFmtId="165" fontId="0" fillId="0" borderId="13" xfId="0" applyNumberFormat="1" applyBorder="1" applyAlignment="1">
      <alignment horizontal="center" vertical="center" wrapText="1"/>
    </xf>
    <xf numFmtId="3" fontId="0" fillId="0" borderId="13" xfId="0" applyNumberFormat="1" applyBorder="1" applyAlignment="1">
      <alignment horizontal="center" vertical="center" wrapText="1"/>
    </xf>
    <xf numFmtId="3" fontId="0" fillId="0" borderId="7" xfId="0" applyNumberFormat="1" applyBorder="1" applyAlignment="1">
      <alignment horizontal="center" vertical="center" wrapText="1"/>
    </xf>
    <xf numFmtId="3" fontId="0" fillId="2" borderId="18" xfId="0" applyNumberFormat="1" applyFill="1" applyBorder="1" applyAlignment="1">
      <alignment horizontal="center" vertical="center" wrapText="1"/>
    </xf>
    <xf numFmtId="16" fontId="0" fillId="0" borderId="6" xfId="0" applyNumberFormat="1" applyBorder="1" applyAlignment="1">
      <alignment wrapText="1"/>
    </xf>
    <xf numFmtId="4" fontId="0" fillId="3" borderId="1" xfId="0" applyNumberForma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4" fontId="0" fillId="3" borderId="9" xfId="0" applyNumberFormat="1" applyFill="1" applyBorder="1" applyAlignment="1">
      <alignment horizontal="center" vertical="center" wrapText="1"/>
    </xf>
    <xf numFmtId="4" fontId="0" fillId="2" borderId="10" xfId="0" applyNumberFormat="1" applyFill="1" applyBorder="1" applyAlignment="1">
      <alignment horizontal="center" vertical="center" wrapText="1"/>
    </xf>
    <xf numFmtId="4" fontId="0" fillId="0" borderId="4" xfId="0" applyNumberFormat="1" applyFill="1" applyBorder="1" applyAlignment="1">
      <alignment horizontal="center" vertical="center" wrapText="1"/>
    </xf>
    <xf numFmtId="3" fontId="0" fillId="3" borderId="7" xfId="0" applyNumberFormat="1" applyFill="1" applyBorder="1" applyAlignment="1">
      <alignment horizontal="center" vertical="center" wrapText="1"/>
    </xf>
    <xf numFmtId="3" fontId="0" fillId="2" borderId="7" xfId="0" applyNumberFormat="1" applyFill="1" applyBorder="1" applyAlignment="1">
      <alignment horizontal="center" vertical="center" wrapText="1"/>
    </xf>
    <xf numFmtId="165" fontId="0" fillId="2" borderId="9" xfId="0" applyNumberFormat="1" applyFill="1" applyBorder="1" applyAlignment="1">
      <alignment horizontal="center" vertical="center" wrapText="1"/>
    </xf>
    <xf numFmtId="165" fontId="0" fillId="0" borderId="9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wrapText="1"/>
    </xf>
    <xf numFmtId="0" fontId="0" fillId="0" borderId="17" xfId="0" applyBorder="1" applyAlignment="1">
      <alignment horizontal="center" wrapText="1"/>
    </xf>
    <xf numFmtId="0" fontId="0" fillId="0" borderId="18" xfId="0" applyBorder="1" applyAlignment="1">
      <alignment horizontal="center" wrapText="1"/>
    </xf>
    <xf numFmtId="3" fontId="0" fillId="0" borderId="13" xfId="0" applyNumberFormat="1" applyFill="1" applyBorder="1" applyAlignment="1">
      <alignment horizontal="center" vertical="center" wrapText="1"/>
    </xf>
    <xf numFmtId="4" fontId="0" fillId="0" borderId="18" xfId="0" applyNumberFormat="1" applyFill="1" applyBorder="1" applyAlignment="1">
      <alignment horizontal="center" vertical="center" wrapText="1"/>
    </xf>
    <xf numFmtId="2" fontId="0" fillId="0" borderId="5" xfId="0" applyNumberFormat="1" applyBorder="1" applyAlignment="1">
      <alignment horizontal="center" wrapText="1"/>
    </xf>
    <xf numFmtId="165" fontId="0" fillId="0" borderId="1" xfId="0" applyNumberForma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24" xfId="0" applyBorder="1" applyAlignment="1">
      <alignment horizontal="center" wrapText="1"/>
    </xf>
    <xf numFmtId="4" fontId="0" fillId="0" borderId="21" xfId="0" applyNumberFormat="1" applyFill="1" applyBorder="1" applyAlignment="1">
      <alignment horizontal="center" vertical="center" wrapText="1"/>
    </xf>
    <xf numFmtId="4" fontId="0" fillId="0" borderId="22" xfId="0" applyNumberFormat="1" applyFill="1" applyBorder="1" applyAlignment="1">
      <alignment horizontal="center" vertical="center" wrapText="1"/>
    </xf>
    <xf numFmtId="4" fontId="0" fillId="0" borderId="23" xfId="0" applyNumberForma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7"/>
  <sheetViews>
    <sheetView workbookViewId="0">
      <selection activeCell="F10" sqref="F10"/>
    </sheetView>
  </sheetViews>
  <sheetFormatPr defaultRowHeight="15"/>
  <cols>
    <col min="1" max="1" width="9.140625" style="1"/>
    <col min="2" max="2" width="81.42578125" style="1" customWidth="1"/>
    <col min="3" max="3" width="21" style="1" customWidth="1"/>
    <col min="4" max="4" width="19.85546875" style="1" customWidth="1"/>
    <col min="5" max="5" width="20.85546875" style="1" customWidth="1"/>
  </cols>
  <sheetData>
    <row r="1" spans="1:5">
      <c r="A1" s="75" t="s">
        <v>19</v>
      </c>
      <c r="B1" s="75"/>
      <c r="C1" s="75"/>
      <c r="D1" s="75"/>
      <c r="E1" s="75"/>
    </row>
    <row r="2" spans="1:5" ht="15.75" thickBot="1">
      <c r="B2" s="76" t="s">
        <v>45</v>
      </c>
      <c r="C2" s="76"/>
      <c r="D2" s="76"/>
      <c r="E2" s="1" t="s">
        <v>18</v>
      </c>
    </row>
    <row r="3" spans="1:5" ht="75">
      <c r="A3" s="4" t="s">
        <v>0</v>
      </c>
      <c r="B3" s="67" t="s">
        <v>1</v>
      </c>
      <c r="C3" s="5" t="s">
        <v>12</v>
      </c>
      <c r="D3" s="5" t="s">
        <v>46</v>
      </c>
      <c r="E3" s="68" t="s">
        <v>47</v>
      </c>
    </row>
    <row r="4" spans="1:5" ht="15.75" thickBot="1">
      <c r="A4" s="69">
        <v>1</v>
      </c>
      <c r="B4" s="3">
        <v>2</v>
      </c>
      <c r="C4" s="3">
        <v>3</v>
      </c>
      <c r="D4" s="3">
        <v>4</v>
      </c>
      <c r="E4" s="70">
        <v>5</v>
      </c>
    </row>
    <row r="5" spans="1:5">
      <c r="A5" s="4">
        <v>1</v>
      </c>
      <c r="B5" s="5" t="s">
        <v>14</v>
      </c>
      <c r="C5" s="25">
        <v>170</v>
      </c>
      <c r="D5" s="43">
        <v>175</v>
      </c>
      <c r="E5" s="44">
        <f>D5</f>
        <v>175</v>
      </c>
    </row>
    <row r="6" spans="1:5">
      <c r="A6" s="19">
        <v>2</v>
      </c>
      <c r="B6" s="17" t="s">
        <v>48</v>
      </c>
      <c r="C6" s="45">
        <v>1000</v>
      </c>
      <c r="D6" s="46">
        <f>IF(C7=0,0,D7*C6/C7)</f>
        <v>1113.0434782608695</v>
      </c>
      <c r="E6" s="53">
        <f>IF(C7=0,0,E7*C6/C7)</f>
        <v>1069.6252501084668</v>
      </c>
    </row>
    <row r="7" spans="1:5" ht="28.5" customHeight="1">
      <c r="A7" s="8">
        <v>3</v>
      </c>
      <c r="B7" s="2" t="s">
        <v>5</v>
      </c>
      <c r="C7" s="74">
        <f>C6*1.15</f>
        <v>1150</v>
      </c>
      <c r="D7" s="49">
        <f>D8*D9/1000</f>
        <v>1280</v>
      </c>
      <c r="E7" s="51">
        <f>E8*E9/1000</f>
        <v>1230.0690376247369</v>
      </c>
    </row>
    <row r="8" spans="1:5" ht="14.25" customHeight="1">
      <c r="A8" s="8">
        <v>4</v>
      </c>
      <c r="B8" s="2" t="s">
        <v>6</v>
      </c>
      <c r="C8" s="12">
        <v>6200</v>
      </c>
      <c r="D8" s="12">
        <v>8000</v>
      </c>
      <c r="E8" s="11">
        <f>D8</f>
        <v>8000</v>
      </c>
    </row>
    <row r="9" spans="1:5" ht="14.25" customHeight="1">
      <c r="A9" s="8">
        <v>5</v>
      </c>
      <c r="B9" s="2" t="s">
        <v>16</v>
      </c>
      <c r="C9" s="9">
        <f>IF(C8=0,0,C7*1000/C8)</f>
        <v>185.48387096774192</v>
      </c>
      <c r="D9" s="12">
        <v>160</v>
      </c>
      <c r="E9" s="11">
        <f>1000/7/0.978/E10*100</f>
        <v>153.75862970309208</v>
      </c>
    </row>
    <row r="10" spans="1:5" ht="14.25" customHeight="1">
      <c r="A10" s="8">
        <v>6</v>
      </c>
      <c r="B10" s="2" t="s">
        <v>7</v>
      </c>
      <c r="C10" s="9">
        <f>IF(C9=0,0,1000/7/C9/0.978)*100</f>
        <v>78.751159039235873</v>
      </c>
      <c r="D10" s="9">
        <f>IF(D9=0,0,1000/7/D9/0.978)*100</f>
        <v>91.294186386210924</v>
      </c>
      <c r="E10" s="18">
        <v>95</v>
      </c>
    </row>
    <row r="11" spans="1:5">
      <c r="A11" s="8">
        <v>7</v>
      </c>
      <c r="B11" s="2" t="s">
        <v>15</v>
      </c>
      <c r="C11" s="48">
        <v>2200</v>
      </c>
      <c r="D11" s="49">
        <f t="shared" ref="D11:D12" si="0">C11</f>
        <v>2200</v>
      </c>
      <c r="E11" s="51">
        <f t="shared" ref="E11:E12" si="1">C11</f>
        <v>2200</v>
      </c>
    </row>
    <row r="12" spans="1:5" ht="15.75" thickBot="1">
      <c r="A12" s="13">
        <v>8</v>
      </c>
      <c r="B12" s="14" t="s">
        <v>51</v>
      </c>
      <c r="C12" s="65">
        <v>2400</v>
      </c>
      <c r="D12" s="66">
        <f t="shared" si="0"/>
        <v>2400</v>
      </c>
      <c r="E12" s="52">
        <f t="shared" si="1"/>
        <v>2400</v>
      </c>
    </row>
    <row r="13" spans="1:5" ht="30">
      <c r="A13" s="4">
        <v>9</v>
      </c>
      <c r="B13" s="5" t="s">
        <v>17</v>
      </c>
      <c r="C13" s="6" t="s">
        <v>2</v>
      </c>
      <c r="D13" s="6" t="s">
        <v>2</v>
      </c>
      <c r="E13" s="7">
        <f>(C9-E9)*E8</f>
        <v>253801.9301171987</v>
      </c>
    </row>
    <row r="14" spans="1:5" ht="30.75" thickBot="1">
      <c r="A14" s="13">
        <v>10</v>
      </c>
      <c r="B14" s="14" t="s">
        <v>11</v>
      </c>
      <c r="C14" s="15" t="s">
        <v>2</v>
      </c>
      <c r="D14" s="15" t="s">
        <v>2</v>
      </c>
      <c r="E14" s="16">
        <f>E13*C12/1000</f>
        <v>609124.63228127698</v>
      </c>
    </row>
    <row r="15" spans="1:5" ht="30">
      <c r="A15" s="4">
        <v>11</v>
      </c>
      <c r="B15" s="5" t="s">
        <v>3</v>
      </c>
      <c r="C15" s="6" t="s">
        <v>2</v>
      </c>
      <c r="D15" s="6" t="s">
        <v>2</v>
      </c>
      <c r="E15" s="44">
        <f>(D9-E9)*E8</f>
        <v>49930.962375263334</v>
      </c>
    </row>
    <row r="16" spans="1:5" ht="32.25" customHeight="1" thickBot="1">
      <c r="A16" s="13">
        <v>12</v>
      </c>
      <c r="B16" s="14" t="s">
        <v>50</v>
      </c>
      <c r="C16" s="15" t="s">
        <v>2</v>
      </c>
      <c r="D16" s="15" t="s">
        <v>2</v>
      </c>
      <c r="E16" s="24">
        <f>E15*E12/1000</f>
        <v>119834.309700632</v>
      </c>
    </row>
    <row r="17" spans="1:5">
      <c r="A17" s="4">
        <v>13</v>
      </c>
      <c r="B17" s="5" t="s">
        <v>8</v>
      </c>
      <c r="C17" s="25">
        <v>6</v>
      </c>
      <c r="D17" s="26">
        <f>C17</f>
        <v>6</v>
      </c>
      <c r="E17" s="21">
        <v>1</v>
      </c>
    </row>
    <row r="18" spans="1:5" ht="30">
      <c r="A18" s="8">
        <v>14</v>
      </c>
      <c r="B18" s="2" t="s">
        <v>49</v>
      </c>
      <c r="C18" s="12">
        <v>3200</v>
      </c>
      <c r="D18" s="10">
        <f>C18</f>
        <v>3200</v>
      </c>
      <c r="E18" s="11">
        <f>C18</f>
        <v>3200</v>
      </c>
    </row>
    <row r="19" spans="1:5" ht="30.75" thickBot="1">
      <c r="A19" s="13">
        <v>15</v>
      </c>
      <c r="B19" s="14" t="s">
        <v>13</v>
      </c>
      <c r="C19" s="22" t="s">
        <v>2</v>
      </c>
      <c r="D19" s="23" t="str">
        <f>C19</f>
        <v>Х</v>
      </c>
      <c r="E19" s="24">
        <f>(C17-E17)*C18*12*1.37</f>
        <v>263040</v>
      </c>
    </row>
    <row r="20" spans="1:5" ht="15.75" thickBot="1">
      <c r="A20" s="29">
        <v>16</v>
      </c>
      <c r="B20" s="30" t="s">
        <v>20</v>
      </c>
      <c r="C20" s="31" t="s">
        <v>2</v>
      </c>
      <c r="D20" s="32" t="s">
        <v>2</v>
      </c>
      <c r="E20" s="33">
        <v>20000</v>
      </c>
    </row>
    <row r="21" spans="1:5">
      <c r="A21" s="19">
        <v>17</v>
      </c>
      <c r="B21" s="17" t="s">
        <v>10</v>
      </c>
      <c r="C21" s="47">
        <v>100000</v>
      </c>
      <c r="D21" s="20">
        <f>C21</f>
        <v>100000</v>
      </c>
      <c r="E21" s="71">
        <f>E25</f>
        <v>2000000</v>
      </c>
    </row>
    <row r="22" spans="1:5">
      <c r="A22" s="8">
        <v>18</v>
      </c>
      <c r="B22" s="2" t="s">
        <v>4</v>
      </c>
      <c r="C22" s="50">
        <v>20000</v>
      </c>
      <c r="D22" s="12">
        <v>20000</v>
      </c>
      <c r="E22" s="64">
        <v>400000</v>
      </c>
    </row>
    <row r="23" spans="1:5" ht="30">
      <c r="A23" s="19">
        <v>19</v>
      </c>
      <c r="B23" s="17" t="s">
        <v>41</v>
      </c>
      <c r="C23" s="20" t="s">
        <v>2</v>
      </c>
      <c r="D23" s="20" t="s">
        <v>2</v>
      </c>
      <c r="E23" s="54">
        <f>E14+E19+E20-C22+E22</f>
        <v>1272164.6322812769</v>
      </c>
    </row>
    <row r="24" spans="1:5" ht="30">
      <c r="A24" s="8">
        <v>20</v>
      </c>
      <c r="B24" s="2" t="s">
        <v>42</v>
      </c>
      <c r="C24" s="10" t="s">
        <v>2</v>
      </c>
      <c r="D24" s="10" t="s">
        <v>2</v>
      </c>
      <c r="E24" s="55">
        <f>E16+E19+E20-D22+E22</f>
        <v>782874.309700632</v>
      </c>
    </row>
    <row r="25" spans="1:5" ht="30.75" thickBot="1">
      <c r="A25" s="34">
        <v>21</v>
      </c>
      <c r="B25" s="35" t="s">
        <v>40</v>
      </c>
      <c r="C25" s="36" t="s">
        <v>2</v>
      </c>
      <c r="D25" s="36" t="s">
        <v>2</v>
      </c>
      <c r="E25" s="56">
        <v>2000000</v>
      </c>
    </row>
    <row r="26" spans="1:5">
      <c r="A26" s="4">
        <v>22</v>
      </c>
      <c r="B26" s="5" t="s">
        <v>44</v>
      </c>
      <c r="C26" s="6" t="s">
        <v>2</v>
      </c>
      <c r="D26" s="6" t="s">
        <v>2</v>
      </c>
      <c r="E26" s="73">
        <f>IF(E23=0,0,IF(E23&lt;E25,1+(E25-E23)/(E23-E20),E25/E23))</f>
        <v>1.5812617198688197</v>
      </c>
    </row>
    <row r="27" spans="1:5" ht="15.75" thickBot="1">
      <c r="A27" s="13">
        <v>23</v>
      </c>
      <c r="B27" s="14" t="s">
        <v>43</v>
      </c>
      <c r="C27" s="40" t="s">
        <v>2</v>
      </c>
      <c r="D27" s="40" t="s">
        <v>2</v>
      </c>
      <c r="E27" s="41">
        <f>IF(E24=0,0,IF(E24&lt;E25,1+(E25-E24)/(E24-E20),E25/E24))</f>
        <v>2.5954472117130196</v>
      </c>
    </row>
  </sheetData>
  <mergeCells count="2">
    <mergeCell ref="A1:E1"/>
    <mergeCell ref="B2:D2"/>
  </mergeCells>
  <pageMargins left="0.70866141732283472" right="0.70866141732283472" top="0.74803149606299213" bottom="0.74803149606299213" header="0.31496062992125984" footer="0.31496062992125984"/>
  <pageSetup paperSize="9" scale="81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0"/>
  <sheetViews>
    <sheetView tabSelected="1" topLeftCell="A22" zoomScale="70" zoomScaleNormal="70" workbookViewId="0">
      <selection activeCell="E34" sqref="E34"/>
    </sheetView>
  </sheetViews>
  <sheetFormatPr defaultRowHeight="15"/>
  <cols>
    <col min="1" max="1" width="9.140625" style="1"/>
    <col min="2" max="2" width="63.5703125" style="1" customWidth="1"/>
    <col min="3" max="3" width="21" style="1" customWidth="1"/>
    <col min="4" max="4" width="19.85546875" style="1" customWidth="1"/>
    <col min="5" max="5" width="20.85546875" style="1" customWidth="1"/>
    <col min="6" max="6" width="0" hidden="1" customWidth="1"/>
    <col min="8" max="8" width="12" customWidth="1"/>
  </cols>
  <sheetData>
    <row r="1" spans="1:6">
      <c r="A1" s="75" t="s">
        <v>39</v>
      </c>
      <c r="B1" s="75"/>
      <c r="C1" s="75"/>
      <c r="D1" s="75"/>
      <c r="E1" s="75"/>
    </row>
    <row r="2" spans="1:6" ht="15.75" thickBot="1">
      <c r="B2" s="76" t="s">
        <v>52</v>
      </c>
      <c r="C2" s="76"/>
      <c r="D2" s="76"/>
      <c r="E2" s="1" t="s">
        <v>18</v>
      </c>
    </row>
    <row r="3" spans="1:6" ht="75">
      <c r="A3" s="4" t="s">
        <v>0</v>
      </c>
      <c r="B3" s="67" t="s">
        <v>1</v>
      </c>
      <c r="C3" s="5" t="s">
        <v>12</v>
      </c>
      <c r="D3" s="5" t="s">
        <v>46</v>
      </c>
      <c r="E3" s="68" t="s">
        <v>47</v>
      </c>
    </row>
    <row r="4" spans="1:6" ht="15.75" thickBot="1">
      <c r="A4" s="69">
        <v>1</v>
      </c>
      <c r="B4" s="3">
        <v>2</v>
      </c>
      <c r="C4" s="3">
        <v>3</v>
      </c>
      <c r="D4" s="3">
        <v>4</v>
      </c>
      <c r="E4" s="70">
        <v>5</v>
      </c>
    </row>
    <row r="5" spans="1:6">
      <c r="A5" s="4">
        <v>1</v>
      </c>
      <c r="B5" s="5" t="s">
        <v>38</v>
      </c>
      <c r="C5" s="25">
        <v>174</v>
      </c>
      <c r="D5" s="43">
        <v>170</v>
      </c>
      <c r="E5" s="44">
        <f>D5</f>
        <v>170</v>
      </c>
    </row>
    <row r="6" spans="1:6" ht="17.25" customHeight="1">
      <c r="A6" s="19">
        <v>2</v>
      </c>
      <c r="B6" s="17" t="s">
        <v>48</v>
      </c>
      <c r="C6" s="45">
        <v>1288.5050000000001</v>
      </c>
      <c r="D6" s="46">
        <f>IF(C7=0,0,D7*C6/C7)</f>
        <v>1408.3639540721194</v>
      </c>
      <c r="E6" s="53">
        <f>E7/C7*C6</f>
        <v>1236.8762970732257</v>
      </c>
    </row>
    <row r="7" spans="1:6" ht="28.5" customHeight="1">
      <c r="A7" s="8">
        <v>3</v>
      </c>
      <c r="B7" s="2" t="s">
        <v>5</v>
      </c>
      <c r="C7" s="48">
        <v>1493.5</v>
      </c>
      <c r="D7" s="49">
        <f>D8*D9/1000</f>
        <v>1632.427942</v>
      </c>
      <c r="E7" s="51">
        <f>(E8-E13*24*E14-E17*24*E18-E21*24*E22)*((D7*1000-D13*24*D14*D15*F12-D17*D18*D19*24*F16-D21*D22*D23*24*F20)/(D8-D13*24*D14*F12-D17*24*D18*F16-D21*D22*24*F20))/1000+E13*E14*24/1000*E15+E17*24*E18*E19/1000+E21*24*E22/1000</f>
        <v>1433.6574166796888</v>
      </c>
    </row>
    <row r="8" spans="1:6" ht="15" customHeight="1">
      <c r="A8" s="8">
        <v>4</v>
      </c>
      <c r="B8" s="2" t="s">
        <v>6</v>
      </c>
      <c r="C8" s="12">
        <v>7743.4</v>
      </c>
      <c r="D8" s="12">
        <v>8533.34</v>
      </c>
      <c r="E8" s="11">
        <f>D8</f>
        <v>8533.34</v>
      </c>
    </row>
    <row r="9" spans="1:6" ht="31.5" customHeight="1">
      <c r="A9" s="8">
        <v>5</v>
      </c>
      <c r="B9" s="2" t="s">
        <v>16</v>
      </c>
      <c r="C9" s="9">
        <f>IF(C8=0,0,C7*1000/C8)</f>
        <v>192.87393134798668</v>
      </c>
      <c r="D9" s="12">
        <v>191.3</v>
      </c>
      <c r="E9" s="11">
        <f>E7/E8*1000</f>
        <v>168.00659726199694</v>
      </c>
    </row>
    <row r="10" spans="1:6" ht="33.75" customHeight="1" thickBot="1">
      <c r="A10" s="34">
        <v>6</v>
      </c>
      <c r="B10" s="35" t="s">
        <v>7</v>
      </c>
      <c r="C10" s="59">
        <f>IF(C9=0,0,1000/7/C9/0.978)*100</f>
        <v>75.733769305709885</v>
      </c>
      <c r="D10" s="59">
        <f>IF(D9=0,0,1000/7/D9/0.978)*100</f>
        <v>76.356873088310238</v>
      </c>
      <c r="E10" s="72">
        <f>IF(E9=0,0,1000/7/E9/0.978)*100</f>
        <v>86.943429959567808</v>
      </c>
    </row>
    <row r="11" spans="1:6" ht="12.75" customHeight="1" thickBot="1">
      <c r="A11" s="37">
        <v>7</v>
      </c>
      <c r="B11" s="38" t="s">
        <v>22</v>
      </c>
      <c r="C11" s="77"/>
      <c r="D11" s="78"/>
      <c r="E11" s="79"/>
    </row>
    <row r="12" spans="1:6" ht="39" customHeight="1">
      <c r="A12" s="4" t="s">
        <v>24</v>
      </c>
      <c r="B12" s="5" t="s">
        <v>23</v>
      </c>
      <c r="C12" s="42" t="s">
        <v>53</v>
      </c>
      <c r="D12" s="62" t="str">
        <f>C12</f>
        <v>КБНГ-2,5</v>
      </c>
      <c r="E12" s="42" t="s">
        <v>53</v>
      </c>
      <c r="F12">
        <f>IF(E15&gt;0,1,0)</f>
        <v>1</v>
      </c>
    </row>
    <row r="13" spans="1:6" ht="28.5" customHeight="1">
      <c r="A13" s="57" t="s">
        <v>25</v>
      </c>
      <c r="B13" s="2" t="s">
        <v>35</v>
      </c>
      <c r="C13" s="58">
        <v>174</v>
      </c>
      <c r="D13" s="58">
        <v>170</v>
      </c>
      <c r="E13" s="63">
        <v>170</v>
      </c>
    </row>
    <row r="14" spans="1:6" ht="14.25" customHeight="1">
      <c r="A14" s="8" t="s">
        <v>26</v>
      </c>
      <c r="B14" s="2" t="s">
        <v>21</v>
      </c>
      <c r="C14" s="58">
        <v>0.7</v>
      </c>
      <c r="D14" s="9">
        <f>C14</f>
        <v>0.7</v>
      </c>
      <c r="E14" s="18">
        <v>0.8</v>
      </c>
    </row>
    <row r="15" spans="1:6" ht="36" customHeight="1" thickBot="1">
      <c r="A15" s="13" t="s">
        <v>27</v>
      </c>
      <c r="B15" s="14" t="s">
        <v>36</v>
      </c>
      <c r="C15" s="60">
        <v>192.87</v>
      </c>
      <c r="D15" s="60">
        <v>191.3</v>
      </c>
      <c r="E15" s="61">
        <v>166</v>
      </c>
    </row>
    <row r="16" spans="1:6" ht="36.75" customHeight="1">
      <c r="A16" s="4" t="s">
        <v>28</v>
      </c>
      <c r="B16" s="5" t="s">
        <v>23</v>
      </c>
      <c r="C16" s="42" t="s">
        <v>53</v>
      </c>
      <c r="D16" s="62" t="str">
        <f>C16</f>
        <v>КБНГ-2,5</v>
      </c>
      <c r="E16" s="42" t="s">
        <v>53</v>
      </c>
      <c r="F16">
        <f>IF(E19&gt;0,1,0)</f>
        <v>1</v>
      </c>
    </row>
    <row r="17" spans="1:6" ht="30" customHeight="1">
      <c r="A17" s="57" t="s">
        <v>29</v>
      </c>
      <c r="B17" s="2" t="s">
        <v>35</v>
      </c>
      <c r="C17" s="58">
        <v>120</v>
      </c>
      <c r="D17" s="9">
        <f>C17</f>
        <v>120</v>
      </c>
      <c r="E17" s="64">
        <v>100</v>
      </c>
    </row>
    <row r="18" spans="1:6" ht="14.25" customHeight="1">
      <c r="A18" s="8" t="s">
        <v>31</v>
      </c>
      <c r="B18" s="2" t="s">
        <v>21</v>
      </c>
      <c r="C18" s="58">
        <v>0.68</v>
      </c>
      <c r="D18" s="9">
        <f>C18</f>
        <v>0.68</v>
      </c>
      <c r="E18" s="18">
        <v>0.8</v>
      </c>
    </row>
    <row r="19" spans="1:6" ht="34.5" customHeight="1" thickBot="1">
      <c r="A19" s="13" t="s">
        <v>32</v>
      </c>
      <c r="B19" s="14" t="s">
        <v>37</v>
      </c>
      <c r="C19" s="60">
        <v>192.87</v>
      </c>
      <c r="D19" s="60">
        <v>191.3</v>
      </c>
      <c r="E19" s="61">
        <v>165.7</v>
      </c>
    </row>
    <row r="20" spans="1:6" ht="30.75" customHeight="1">
      <c r="A20" s="4" t="s">
        <v>33</v>
      </c>
      <c r="B20" s="5" t="s">
        <v>23</v>
      </c>
      <c r="C20" s="42" t="s">
        <v>53</v>
      </c>
      <c r="D20" s="62" t="str">
        <f>C20</f>
        <v>КБНГ-2,5</v>
      </c>
      <c r="E20" s="62" t="str">
        <f>D20</f>
        <v>КБНГ-2,5</v>
      </c>
      <c r="F20">
        <f>IF(E23&gt;0,1,0)</f>
        <v>1</v>
      </c>
    </row>
    <row r="21" spans="1:6" ht="28.5" customHeight="1">
      <c r="A21" s="57" t="s">
        <v>34</v>
      </c>
      <c r="B21" s="2" t="s">
        <v>35</v>
      </c>
      <c r="C21" s="58">
        <v>85</v>
      </c>
      <c r="D21" s="9">
        <f>C21</f>
        <v>85</v>
      </c>
      <c r="E21" s="18">
        <v>50</v>
      </c>
    </row>
    <row r="22" spans="1:6" ht="14.25" customHeight="1">
      <c r="A22" s="8" t="s">
        <v>26</v>
      </c>
      <c r="B22" s="2" t="s">
        <v>21</v>
      </c>
      <c r="C22" s="58">
        <v>0.5</v>
      </c>
      <c r="D22" s="9">
        <f>C22</f>
        <v>0.5</v>
      </c>
      <c r="E22" s="18">
        <v>0.3</v>
      </c>
    </row>
    <row r="23" spans="1:6" ht="27" customHeight="1" thickBot="1">
      <c r="A23" s="13" t="s">
        <v>30</v>
      </c>
      <c r="B23" s="14" t="s">
        <v>37</v>
      </c>
      <c r="C23" s="60">
        <v>192.87</v>
      </c>
      <c r="D23" s="60">
        <v>190</v>
      </c>
      <c r="E23" s="61">
        <v>165.37</v>
      </c>
    </row>
    <row r="24" spans="1:6" ht="30">
      <c r="A24" s="19">
        <v>8</v>
      </c>
      <c r="B24" s="17" t="s">
        <v>15</v>
      </c>
      <c r="C24" s="45">
        <v>1541.5</v>
      </c>
      <c r="D24" s="46">
        <f t="shared" ref="D24:D25" si="0">C24</f>
        <v>1541.5</v>
      </c>
      <c r="E24" s="53">
        <f t="shared" ref="E24:E25" si="1">C24</f>
        <v>1541.5</v>
      </c>
    </row>
    <row r="25" spans="1:6" ht="15.75" thickBot="1">
      <c r="A25" s="8">
        <v>9</v>
      </c>
      <c r="B25" s="2" t="s">
        <v>51</v>
      </c>
      <c r="C25" s="48">
        <v>1695.6</v>
      </c>
      <c r="D25" s="49">
        <f t="shared" si="0"/>
        <v>1695.6</v>
      </c>
      <c r="E25" s="51">
        <f t="shared" si="1"/>
        <v>1695.6</v>
      </c>
    </row>
    <row r="26" spans="1:6" ht="45">
      <c r="A26" s="4">
        <v>10</v>
      </c>
      <c r="B26" s="5" t="s">
        <v>17</v>
      </c>
      <c r="C26" s="6" t="s">
        <v>2</v>
      </c>
      <c r="D26" s="6" t="s">
        <v>2</v>
      </c>
      <c r="E26" s="7">
        <f>(C9-E9)*E8</f>
        <v>212201.41664933969</v>
      </c>
    </row>
    <row r="27" spans="1:6" ht="45.75" thickBot="1">
      <c r="A27" s="13">
        <v>11</v>
      </c>
      <c r="B27" s="14" t="s">
        <v>11</v>
      </c>
      <c r="C27" s="15" t="s">
        <v>2</v>
      </c>
      <c r="D27" s="15" t="s">
        <v>2</v>
      </c>
      <c r="E27" s="24">
        <f>E26*C25/1000</f>
        <v>359808.72207062034</v>
      </c>
    </row>
    <row r="28" spans="1:6" ht="30">
      <c r="A28" s="4">
        <v>12</v>
      </c>
      <c r="B28" s="5" t="s">
        <v>3</v>
      </c>
      <c r="C28" s="6" t="s">
        <v>2</v>
      </c>
      <c r="D28" s="6" t="s">
        <v>2</v>
      </c>
      <c r="E28" s="44">
        <f>(D9-E9)*E8</f>
        <v>198770.52532031111</v>
      </c>
    </row>
    <row r="29" spans="1:6" ht="45.75" thickBot="1">
      <c r="A29" s="13">
        <v>13</v>
      </c>
      <c r="B29" s="14" t="s">
        <v>50</v>
      </c>
      <c r="C29" s="15" t="s">
        <v>2</v>
      </c>
      <c r="D29" s="15" t="s">
        <v>2</v>
      </c>
      <c r="E29" s="24">
        <f>E28*E25/1000</f>
        <v>337035.30273311946</v>
      </c>
    </row>
    <row r="30" spans="1:6">
      <c r="A30" s="4">
        <v>14</v>
      </c>
      <c r="B30" s="5" t="s">
        <v>8</v>
      </c>
      <c r="C30" s="25">
        <v>4</v>
      </c>
      <c r="D30" s="26">
        <f>C30</f>
        <v>4</v>
      </c>
      <c r="E30" s="21">
        <v>4</v>
      </c>
    </row>
    <row r="31" spans="1:6" ht="30">
      <c r="A31" s="8">
        <v>15</v>
      </c>
      <c r="B31" s="2" t="s">
        <v>9</v>
      </c>
      <c r="C31" s="12">
        <v>3058</v>
      </c>
      <c r="D31" s="10">
        <f>C31</f>
        <v>3058</v>
      </c>
      <c r="E31" s="11">
        <f>C31</f>
        <v>3058</v>
      </c>
    </row>
    <row r="32" spans="1:6" ht="30.75" thickBot="1">
      <c r="A32" s="13">
        <v>16</v>
      </c>
      <c r="B32" s="14" t="s">
        <v>13</v>
      </c>
      <c r="C32" s="22" t="s">
        <v>2</v>
      </c>
      <c r="D32" s="23" t="str">
        <f>C32</f>
        <v>Х</v>
      </c>
      <c r="E32" s="24">
        <f>(C30-E30)*C31*12*1.37</f>
        <v>0</v>
      </c>
    </row>
    <row r="33" spans="1:5" ht="30.75" thickBot="1">
      <c r="A33" s="29">
        <v>17</v>
      </c>
      <c r="B33" s="30" t="s">
        <v>20</v>
      </c>
      <c r="C33" s="31" t="s">
        <v>2</v>
      </c>
      <c r="D33" s="32" t="s">
        <v>2</v>
      </c>
      <c r="E33" s="33">
        <v>260</v>
      </c>
    </row>
    <row r="34" spans="1:5" ht="17.25" customHeight="1">
      <c r="A34" s="19">
        <v>18</v>
      </c>
      <c r="B34" s="17" t="s">
        <v>10</v>
      </c>
      <c r="C34" s="47">
        <v>14625.51</v>
      </c>
      <c r="D34" s="20">
        <v>14626</v>
      </c>
      <c r="E34" s="71">
        <v>852091</v>
      </c>
    </row>
    <row r="35" spans="1:5">
      <c r="A35" s="8">
        <v>19</v>
      </c>
      <c r="B35" s="2" t="s">
        <v>4</v>
      </c>
      <c r="C35" s="50">
        <v>502</v>
      </c>
      <c r="D35" s="12">
        <v>502</v>
      </c>
      <c r="E35" s="64">
        <v>170418</v>
      </c>
    </row>
    <row r="36" spans="1:5" ht="30">
      <c r="A36" s="19">
        <v>20</v>
      </c>
      <c r="B36" s="17" t="s">
        <v>41</v>
      </c>
      <c r="C36" s="20" t="s">
        <v>2</v>
      </c>
      <c r="D36" s="20" t="s">
        <v>2</v>
      </c>
      <c r="E36" s="54">
        <f>E27+E32+E33-C35+E35</f>
        <v>529984.7220706204</v>
      </c>
    </row>
    <row r="37" spans="1:5" ht="30">
      <c r="A37" s="8">
        <v>21</v>
      </c>
      <c r="B37" s="2" t="s">
        <v>42</v>
      </c>
      <c r="C37" s="10" t="s">
        <v>2</v>
      </c>
      <c r="D37" s="10" t="s">
        <v>2</v>
      </c>
      <c r="E37" s="55">
        <f>E29+E32+E33-D35+E35</f>
        <v>507211.30273311946</v>
      </c>
    </row>
    <row r="38" spans="1:5" ht="30.75" thickBot="1">
      <c r="A38" s="34">
        <v>22</v>
      </c>
      <c r="B38" s="35" t="s">
        <v>40</v>
      </c>
      <c r="C38" s="36" t="s">
        <v>2</v>
      </c>
      <c r="D38" s="36" t="s">
        <v>2</v>
      </c>
      <c r="E38" s="56">
        <v>839370</v>
      </c>
    </row>
    <row r="39" spans="1:5" ht="30">
      <c r="A39" s="37">
        <v>23</v>
      </c>
      <c r="B39" s="38" t="s">
        <v>44</v>
      </c>
      <c r="C39" s="39" t="s">
        <v>2</v>
      </c>
      <c r="D39" s="39" t="s">
        <v>2</v>
      </c>
      <c r="E39" s="73">
        <f>IF(E36=0,0,IF(E36&lt;E38,1+(E38-E36)/(E36-E33),E38/E36))</f>
        <v>1.5840491580608802</v>
      </c>
    </row>
    <row r="40" spans="1:5" ht="30.75" thickBot="1">
      <c r="A40" s="13">
        <v>24</v>
      </c>
      <c r="B40" s="14" t="s">
        <v>43</v>
      </c>
      <c r="C40" s="40" t="s">
        <v>2</v>
      </c>
      <c r="D40" s="40" t="s">
        <v>2</v>
      </c>
      <c r="E40" s="41">
        <f>IF(E37=0,0,IF(E37&lt;E38,1+(E38-E37)/(E37-E33),E38/E37))</f>
        <v>1.6552082921497941</v>
      </c>
    </row>
  </sheetData>
  <mergeCells count="3">
    <mergeCell ref="A1:E1"/>
    <mergeCell ref="C11:E11"/>
    <mergeCell ref="B2:D2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C5:F7"/>
  <sheetViews>
    <sheetView workbookViewId="0">
      <selection activeCell="D17" sqref="D17"/>
    </sheetView>
  </sheetViews>
  <sheetFormatPr defaultRowHeight="15"/>
  <cols>
    <col min="3" max="3" width="10.28515625" bestFit="1" customWidth="1"/>
    <col min="6" max="6" width="10.5703125" bestFit="1" customWidth="1"/>
  </cols>
  <sheetData>
    <row r="5" spans="3:6">
      <c r="F5" s="28"/>
    </row>
    <row r="7" spans="3:6">
      <c r="C7" s="2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повна заміна</vt:lpstr>
      <vt:lpstr>часткова заміна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2014-11-11T08:12:13Z</dcterms:modified>
</cp:coreProperties>
</file>